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terim Finance Director - RJC\Fire Commission\"/>
    </mc:Choice>
  </mc:AlternateContent>
  <xr:revisionPtr revIDLastSave="0" documentId="13_ncr:1_{51AE0777-5C46-472A-866C-750860B40EBB}" xr6:coauthVersionLast="36" xr6:coauthVersionMax="36" xr10:uidLastSave="{00000000-0000-0000-0000-000000000000}"/>
  <bookViews>
    <workbookView xWindow="0" yWindow="0" windowWidth="28800" windowHeight="11805" xr2:uid="{C2FB67BA-E605-4BE5-811C-F3368723E022}"/>
  </bookViews>
  <sheets>
    <sheet name="BUDGET PROJECTION" sheetId="3" r:id="rId1"/>
    <sheet name="PERSONNEL" sheetId="1" r:id="rId2"/>
    <sheet name="Pension Estimate" sheetId="2" r:id="rId3"/>
  </sheets>
  <definedNames>
    <definedName name="_xlnm.Print_Area" localSheetId="0">'BUDGET PROJECTION'!$G$80:$M$101</definedName>
    <definedName name="_xlnm.Print_Area" localSheetId="1">PERSONNEL!$A$1:$M$42</definedName>
    <definedName name="_xlnm.Print_Titles" localSheetId="0">'BUDGET PROJECTION'!$10:$11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" i="3" l="1"/>
  <c r="L100" i="3"/>
  <c r="K100" i="3"/>
  <c r="J100" i="3"/>
  <c r="M97" i="3"/>
  <c r="L97" i="3"/>
  <c r="K97" i="3"/>
  <c r="K96" i="3"/>
  <c r="J97" i="3"/>
  <c r="M99" i="3"/>
  <c r="L99" i="3"/>
  <c r="K99" i="3"/>
  <c r="J99" i="3"/>
  <c r="M96" i="3"/>
  <c r="L96" i="3"/>
  <c r="J96" i="3"/>
  <c r="M94" i="3"/>
  <c r="L94" i="3"/>
  <c r="K94" i="3"/>
  <c r="J94" i="3"/>
  <c r="E77" i="3" l="1"/>
  <c r="E76" i="3"/>
  <c r="C77" i="3"/>
  <c r="C76" i="3"/>
  <c r="E60" i="3" l="1"/>
  <c r="C60" i="3"/>
  <c r="E32" i="3" l="1"/>
  <c r="C32" i="3"/>
  <c r="E48" i="3"/>
  <c r="C48" i="3"/>
  <c r="E21" i="3"/>
  <c r="C21" i="3"/>
  <c r="E13" i="3"/>
  <c r="E15" i="3" s="1"/>
  <c r="E19" i="3"/>
  <c r="E18" i="3"/>
  <c r="E20" i="3"/>
  <c r="E17" i="3"/>
  <c r="E16" i="3"/>
  <c r="C20" i="3"/>
  <c r="C19" i="3"/>
  <c r="C18" i="3"/>
  <c r="C17" i="3"/>
  <c r="C16" i="3"/>
  <c r="E14" i="3"/>
  <c r="C14" i="3"/>
  <c r="E12" i="3"/>
  <c r="C12" i="3"/>
  <c r="C13" i="3" s="1"/>
  <c r="C15" i="3" s="1"/>
  <c r="C10" i="1"/>
  <c r="H31" i="1"/>
  <c r="F31" i="1"/>
  <c r="E31" i="1"/>
  <c r="H22" i="1"/>
  <c r="K22" i="1" s="1"/>
  <c r="L22" i="1" s="1"/>
  <c r="F22" i="1"/>
  <c r="E22" i="1"/>
  <c r="K31" i="1"/>
  <c r="L31" i="1" s="1"/>
  <c r="J32" i="1"/>
  <c r="I32" i="1"/>
  <c r="G32" i="1"/>
  <c r="D32" i="1"/>
  <c r="J23" i="1"/>
  <c r="I23" i="1"/>
  <c r="G23" i="1"/>
  <c r="D23" i="1"/>
  <c r="B32" i="1"/>
  <c r="D31" i="1"/>
  <c r="G31" i="1"/>
  <c r="I31" i="1"/>
  <c r="J31" i="1"/>
  <c r="B23" i="1"/>
  <c r="D22" i="1"/>
  <c r="G22" i="1"/>
  <c r="I22" i="1"/>
  <c r="J22" i="1"/>
  <c r="L29" i="1"/>
  <c r="L28" i="1"/>
  <c r="L27" i="1"/>
  <c r="L26" i="1"/>
  <c r="L17" i="1"/>
  <c r="K29" i="1"/>
  <c r="K28" i="1"/>
  <c r="K27" i="1"/>
  <c r="K26" i="1"/>
  <c r="K17" i="1"/>
  <c r="C17" i="1"/>
  <c r="C18" i="1"/>
  <c r="C19" i="1"/>
  <c r="C20" i="1"/>
  <c r="C9" i="1"/>
  <c r="D9" i="1"/>
  <c r="D10" i="1"/>
  <c r="J30" i="1"/>
  <c r="J29" i="1"/>
  <c r="J28" i="1"/>
  <c r="J27" i="1"/>
  <c r="J26" i="1"/>
  <c r="J21" i="1"/>
  <c r="J20" i="1"/>
  <c r="J19" i="1"/>
  <c r="J18" i="1"/>
  <c r="J17" i="1"/>
  <c r="I30" i="1"/>
  <c r="I29" i="1"/>
  <c r="I28" i="1"/>
  <c r="I27" i="1"/>
  <c r="I26" i="1"/>
  <c r="I21" i="1"/>
  <c r="I20" i="1"/>
  <c r="I19" i="1"/>
  <c r="I18" i="1"/>
  <c r="I17" i="1"/>
  <c r="H29" i="1"/>
  <c r="H28" i="1"/>
  <c r="H27" i="1"/>
  <c r="H20" i="1"/>
  <c r="H19" i="1"/>
  <c r="H18" i="1"/>
  <c r="G30" i="1"/>
  <c r="G28" i="1"/>
  <c r="G27" i="1"/>
  <c r="G26" i="1"/>
  <c r="G21" i="1"/>
  <c r="G20" i="1"/>
  <c r="G19" i="1"/>
  <c r="G18" i="1"/>
  <c r="G17" i="1"/>
  <c r="D13" i="1"/>
  <c r="C13" i="1"/>
  <c r="D12" i="1"/>
  <c r="D11" i="1"/>
  <c r="C11" i="1"/>
  <c r="C12" i="1"/>
  <c r="D30" i="1"/>
  <c r="D28" i="1"/>
  <c r="D27" i="1"/>
  <c r="D26" i="1"/>
  <c r="D21" i="1"/>
  <c r="D20" i="1"/>
  <c r="D19" i="1"/>
  <c r="D18" i="1"/>
  <c r="D17" i="1"/>
  <c r="I13" i="2"/>
  <c r="I10" i="2"/>
  <c r="I11" i="2"/>
  <c r="I12" i="2"/>
  <c r="F13" i="2"/>
  <c r="D13" i="2"/>
  <c r="D12" i="2"/>
  <c r="D11" i="2"/>
  <c r="D10" i="2"/>
  <c r="C13" i="2"/>
  <c r="B29" i="1"/>
  <c r="D29" i="1" s="1"/>
  <c r="E52" i="3" l="1"/>
  <c r="E62" i="3" s="1"/>
  <c r="C52" i="3"/>
  <c r="C62" i="3" s="1"/>
  <c r="G29" i="1"/>
  <c r="E9" i="1"/>
  <c r="E10" i="1" l="1"/>
  <c r="H17" i="1"/>
  <c r="E11" i="1"/>
  <c r="E12" i="1" s="1"/>
  <c r="C26" i="1"/>
  <c r="H26" i="1" s="1"/>
  <c r="C21" i="1" l="1"/>
  <c r="C23" i="1" s="1"/>
  <c r="C30" i="1"/>
  <c r="E30" i="1"/>
  <c r="E32" i="1" s="1"/>
  <c r="F26" i="1"/>
  <c r="E26" i="1"/>
  <c r="F17" i="1"/>
  <c r="E17" i="1"/>
  <c r="F21" i="1"/>
  <c r="F23" i="1" s="1"/>
  <c r="E21" i="1"/>
  <c r="C27" i="1"/>
  <c r="E13" i="1"/>
  <c r="C28" i="1"/>
  <c r="K21" i="1" l="1"/>
  <c r="E23" i="1"/>
  <c r="H30" i="1"/>
  <c r="H32" i="1" s="1"/>
  <c r="C32" i="1"/>
  <c r="H21" i="1"/>
  <c r="H23" i="1" s="1"/>
  <c r="F30" i="1"/>
  <c r="F32" i="1" s="1"/>
  <c r="F27" i="1"/>
  <c r="E27" i="1"/>
  <c r="E28" i="1"/>
  <c r="F28" i="1"/>
  <c r="F19" i="1"/>
  <c r="E19" i="1"/>
  <c r="K19" i="1" s="1"/>
  <c r="L19" i="1" s="1"/>
  <c r="F18" i="1"/>
  <c r="E18" i="1"/>
  <c r="K18" i="1" s="1"/>
  <c r="C29" i="1"/>
  <c r="K30" i="1" l="1"/>
  <c r="L21" i="1"/>
  <c r="K23" i="1"/>
  <c r="L18" i="1"/>
  <c r="F20" i="1"/>
  <c r="E20" i="1"/>
  <c r="K20" i="1" s="1"/>
  <c r="L20" i="1" s="1"/>
  <c r="E29" i="1"/>
  <c r="F29" i="1"/>
  <c r="L30" i="1" l="1"/>
  <c r="K32" i="1"/>
</calcChain>
</file>

<file path=xl/sharedStrings.xml><?xml version="1.0" encoding="utf-8"?>
<sst xmlns="http://schemas.openxmlformats.org/spreadsheetml/2006/main" count="147" uniqueCount="121">
  <si>
    <t xml:space="preserve">PERSONNEL SUPPLEMENT </t>
  </si>
  <si>
    <t>Robert J. Civetti</t>
  </si>
  <si>
    <t>June 26, 2026</t>
  </si>
  <si>
    <t>CCFD</t>
  </si>
  <si>
    <t>Division Chief/Assistant</t>
  </si>
  <si>
    <t>Fire Marshall</t>
  </si>
  <si>
    <t>Captain</t>
  </si>
  <si>
    <t>Fire Fighter (asssume over 30 Mo)</t>
  </si>
  <si>
    <t>Lieutenant</t>
  </si>
  <si>
    <t>Holiday</t>
  </si>
  <si>
    <t>Annual</t>
  </si>
  <si>
    <t># Positions</t>
  </si>
  <si>
    <t>Annual Salary</t>
  </si>
  <si>
    <t>FireFighters</t>
  </si>
  <si>
    <t>Fire Marshalls</t>
  </si>
  <si>
    <t>Est PR Tax</t>
  </si>
  <si>
    <t>MERS FY 2027</t>
  </si>
  <si>
    <t>Anthony FD</t>
  </si>
  <si>
    <t>HHFD</t>
  </si>
  <si>
    <t>Est Contributions</t>
  </si>
  <si>
    <t>Total</t>
  </si>
  <si>
    <t>Calc %</t>
  </si>
  <si>
    <t>MERS FY 27</t>
  </si>
  <si>
    <t>Contrib %</t>
  </si>
  <si>
    <t>Est. Pension (a)</t>
  </si>
  <si>
    <t>(a) - Estimated annual contribution at 34.09%</t>
  </si>
  <si>
    <t>Clothing Allow (b)</t>
  </si>
  <si>
    <t>(b) - Estimated at $1,600 annually</t>
  </si>
  <si>
    <t>used CFD</t>
  </si>
  <si>
    <t>Life Insurance</t>
  </si>
  <si>
    <t>Health Ins</t>
  </si>
  <si>
    <t>Dental Ins.</t>
  </si>
  <si>
    <t>Total PR &amp;</t>
  </si>
  <si>
    <t>Benefits</t>
  </si>
  <si>
    <t>Est.</t>
  </si>
  <si>
    <t>PEHP</t>
  </si>
  <si>
    <t>used CCFD +$9620</t>
  </si>
  <si>
    <t>Avg per</t>
  </si>
  <si>
    <t>Position</t>
  </si>
  <si>
    <t>Chief</t>
  </si>
  <si>
    <t>FOR DISCUSSION ONLY</t>
  </si>
  <si>
    <t>COVENTRY MUNICIPAL FIRE COMMISSION</t>
  </si>
  <si>
    <t>Salary incl Stipends &amp; Long.</t>
  </si>
  <si>
    <t>PERSONNEL</t>
  </si>
  <si>
    <t>Staffing 56 &amp; Chief</t>
  </si>
  <si>
    <t>Staffing 66 &amp; Chief</t>
  </si>
  <si>
    <t>PAYROLL TAXES</t>
  </si>
  <si>
    <t>CLOTHING ALLOWANCE</t>
  </si>
  <si>
    <t>PENSION</t>
  </si>
  <si>
    <t>LIFE INSURANCE</t>
  </si>
  <si>
    <t>HEALTH INSURANCE</t>
  </si>
  <si>
    <t>DENTAL INSURANCE</t>
  </si>
  <si>
    <t>PEHP - POST EMPLOYMENT</t>
  </si>
  <si>
    <t xml:space="preserve">INSURANCE </t>
  </si>
  <si>
    <t>INSURANCE - HSA/HRA</t>
  </si>
  <si>
    <t>OVERTIME ESTIMATE</t>
  </si>
  <si>
    <t xml:space="preserve">RETIREE MEDICAL </t>
  </si>
  <si>
    <t>LEGAL AND PROFESSIONAL</t>
  </si>
  <si>
    <t>ADMINISTRIVE SUPPLIES ETC</t>
  </si>
  <si>
    <t>APPARATUS FUEL</t>
  </si>
  <si>
    <t>FIRE SUPPLES</t>
  </si>
  <si>
    <t>FIRE ALARM MAINTENANCE</t>
  </si>
  <si>
    <t>RESCUE SUPPLIES</t>
  </si>
  <si>
    <t>VEHICLE LEASES - LOANS</t>
  </si>
  <si>
    <t>TELECOMMUNICATIONS</t>
  </si>
  <si>
    <t xml:space="preserve">STATION - MORTGAGE </t>
  </si>
  <si>
    <t>REPAIRS &amp; MAIN - BLDG</t>
  </si>
  <si>
    <t>REPAIRS &amp; MAINT - APPARATUS</t>
  </si>
  <si>
    <t>STATION SUPPLIES</t>
  </si>
  <si>
    <t>SERVICE CONTRACTS</t>
  </si>
  <si>
    <t>ELECTRICITY</t>
  </si>
  <si>
    <t>UTILITIES - GAS</t>
  </si>
  <si>
    <t>UTILITIES - INTERNET/CABLE</t>
  </si>
  <si>
    <t>UTILITIES - OIL</t>
  </si>
  <si>
    <t>UTILITIES - PROPANE</t>
  </si>
  <si>
    <t>UTILITIES - WATER</t>
  </si>
  <si>
    <t>RESCUE BILLING FEES</t>
  </si>
  <si>
    <t>HYDRANTS</t>
  </si>
  <si>
    <t>STREET LIGHTS</t>
  </si>
  <si>
    <t>PRISM</t>
  </si>
  <si>
    <t>RIIB STREET LIGHT LOAN</t>
  </si>
  <si>
    <t>TRAINING - FIRE/RESCUE</t>
  </si>
  <si>
    <t>TELECOM - MOBILE</t>
  </si>
  <si>
    <t xml:space="preserve">MISCELLANEOUS </t>
  </si>
  <si>
    <t>SMALL TOOLS AND EQUIPMENT</t>
  </si>
  <si>
    <t xml:space="preserve">    ESTIMATED ANNUAL  EXPENDITURES</t>
  </si>
  <si>
    <t>RESCUE REVENUE</t>
  </si>
  <si>
    <t>FIRE PREVENTION REVENUE</t>
  </si>
  <si>
    <t>FIRE MARSHALL REVENUE</t>
  </si>
  <si>
    <t>BANK INTEREST</t>
  </si>
  <si>
    <t>INTEREST AND PENALTIES ON TAXES</t>
  </si>
  <si>
    <t>OTHER INCOME - AMGEN</t>
  </si>
  <si>
    <t xml:space="preserve">   ESIMATED ANNUAL REVENUE</t>
  </si>
  <si>
    <t xml:space="preserve">  ESTIMATED AMOUNT TO BE RAISED BY TAXES</t>
  </si>
  <si>
    <t xml:space="preserve">           Estimated Residential Rate per $1,000</t>
  </si>
  <si>
    <t xml:space="preserve">           Estimated Commercial Rate per $1,000</t>
  </si>
  <si>
    <t xml:space="preserve">          Estimated Residential increase per $1,000</t>
  </si>
  <si>
    <t xml:space="preserve">          Estimated Commercial increase per $1,000</t>
  </si>
  <si>
    <t>INCREASE IN TAX RATE FOR FISCAL 2026 IF THIS TOOK EFFECT 7/1/2025:</t>
  </si>
  <si>
    <t xml:space="preserve">  Actual Tax Rate and increase for FY 2026</t>
  </si>
  <si>
    <t xml:space="preserve">           Residential Rate per $1,000</t>
  </si>
  <si>
    <t xml:space="preserve">           Commercial Rate per $1,000</t>
  </si>
  <si>
    <t xml:space="preserve">          Residential increase per $1,000</t>
  </si>
  <si>
    <t xml:space="preserve">          Commercial increase per $1,000</t>
  </si>
  <si>
    <t>Current tax rates per 2024 Tax Rolls</t>
  </si>
  <si>
    <t>Town of Coventry</t>
  </si>
  <si>
    <t>Coventry FD</t>
  </si>
  <si>
    <t>Hopkins Hill FD</t>
  </si>
  <si>
    <t>Western Coventry FD</t>
  </si>
  <si>
    <t>Residential</t>
  </si>
  <si>
    <t>Commercial /Industrial</t>
  </si>
  <si>
    <t>Tangible Personal Property</t>
  </si>
  <si>
    <t>FY 26 tax rate estimate 57 FF Personnel</t>
  </si>
  <si>
    <t>FY 26 tax rate estimate 67 FF Personnel</t>
  </si>
  <si>
    <t>Combined Town and District Residential Rate '24 Tax Roll</t>
  </si>
  <si>
    <t xml:space="preserve">  Percentage increase from FY 2025 - '24 Roll</t>
  </si>
  <si>
    <t>Central Coventry FD</t>
  </si>
  <si>
    <t>PRELIMINARY ESTIMATED BUDGET PROJECTION</t>
  </si>
  <si>
    <t>FOR DISCUSSION PURPOSES ONLY</t>
  </si>
  <si>
    <t>June 26, 2025</t>
  </si>
  <si>
    <t>PRELIMINARY TAX RATE COMPARISON BASED ON BUDGET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</si>
</sst>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44" fontId="3" fillId="0" borderId="0" xfId="1" applyFont="1"/>
    <xf numFmtId="44" fontId="3" fillId="0" borderId="0" xfId="1" applyFont="1" applyBorder="1" applyAlignment="1">
      <alignment horizontal="center"/>
    </xf>
    <xf numFmtId="4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164" fontId="0" fillId="0" borderId="2" xfId="1" applyNumberFormat="1" applyFont="1" applyBorder="1"/>
    <xf numFmtId="9" fontId="0" fillId="0" borderId="0" xfId="2" applyFont="1"/>
    <xf numFmtId="9" fontId="0" fillId="0" borderId="2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0" fontId="0" fillId="0" borderId="0" xfId="2" applyNumberFormat="1" applyFont="1"/>
    <xf numFmtId="10" fontId="0" fillId="0" borderId="2" xfId="2" applyNumberFormat="1" applyFont="1" applyBorder="1"/>
    <xf numFmtId="0" fontId="5" fillId="0" borderId="0" xfId="0" quotePrefix="1" applyFont="1"/>
    <xf numFmtId="0" fontId="2" fillId="0" borderId="0" xfId="0" applyFont="1" applyAlignment="1">
      <alignment horizontal="right"/>
    </xf>
    <xf numFmtId="10" fontId="2" fillId="0" borderId="0" xfId="2" applyNumberFormat="1" applyFont="1"/>
    <xf numFmtId="10" fontId="2" fillId="0" borderId="0" xfId="2" applyNumberFormat="1" applyFont="1" applyBorder="1"/>
    <xf numFmtId="164" fontId="3" fillId="0" borderId="0" xfId="1" applyNumberFormat="1" applyFont="1"/>
    <xf numFmtId="164" fontId="3" fillId="0" borderId="2" xfId="1" applyNumberFormat="1" applyFont="1" applyBorder="1"/>
    <xf numFmtId="164" fontId="3" fillId="0" borderId="0" xfId="0" applyNumberFormat="1" applyFont="1"/>
    <xf numFmtId="44" fontId="3" fillId="0" borderId="0" xfId="1" applyNumberFormat="1" applyFont="1"/>
    <xf numFmtId="44" fontId="5" fillId="0" borderId="1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 wrapText="1"/>
    </xf>
    <xf numFmtId="164" fontId="5" fillId="0" borderId="4" xfId="1" applyNumberFormat="1" applyFont="1" applyBorder="1"/>
    <xf numFmtId="164" fontId="5" fillId="0" borderId="3" xfId="1" applyNumberFormat="1" applyFont="1" applyBorder="1"/>
    <xf numFmtId="164" fontId="5" fillId="0" borderId="0" xfId="1" applyNumberFormat="1" applyFont="1"/>
    <xf numFmtId="10" fontId="3" fillId="0" borderId="0" xfId="2" applyNumberFormat="1" applyFont="1"/>
    <xf numFmtId="165" fontId="3" fillId="0" borderId="0" xfId="1" applyNumberFormat="1" applyFont="1"/>
    <xf numFmtId="44" fontId="3" fillId="0" borderId="0" xfId="2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wrapText="1"/>
    </xf>
    <xf numFmtId="165" fontId="7" fillId="0" borderId="0" xfId="1" applyNumberFormat="1" applyFont="1"/>
    <xf numFmtId="165" fontId="3" fillId="0" borderId="0" xfId="0" applyNumberFormat="1" applyFo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/>
    <xf numFmtId="44" fontId="7" fillId="0" borderId="0" xfId="0" applyNumberFormat="1" applyFont="1" applyBorder="1"/>
    <xf numFmtId="164" fontId="4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9830-52B8-4821-854B-B12FC996468C}">
  <sheetPr>
    <pageSetUpPr fitToPage="1"/>
  </sheetPr>
  <dimension ref="A1:N100"/>
  <sheetViews>
    <sheetView tabSelected="1" topLeftCell="A76" workbookViewId="0">
      <selection activeCell="G68" sqref="G68"/>
    </sheetView>
  </sheetViews>
  <sheetFormatPr defaultRowHeight="15" x14ac:dyDescent="0.25"/>
  <cols>
    <col min="1" max="1" width="50.28515625" style="1" customWidth="1"/>
    <col min="2" max="2" width="4" style="1" customWidth="1"/>
    <col min="3" max="3" width="14" style="31" bestFit="1" customWidth="1"/>
    <col min="4" max="4" width="4.42578125" style="31" customWidth="1"/>
    <col min="5" max="5" width="14" style="31" bestFit="1" customWidth="1"/>
    <col min="6" max="6" width="9.140625" style="31"/>
    <col min="7" max="7" width="44" style="31" customWidth="1"/>
    <col min="8" max="8" width="5.28515625" style="31" customWidth="1"/>
    <col min="9" max="9" width="9.85546875" style="1" bestFit="1" customWidth="1"/>
    <col min="10" max="10" width="11.28515625" style="1" customWidth="1"/>
    <col min="11" max="11" width="11.42578125" style="1" customWidth="1"/>
    <col min="12" max="12" width="12.28515625" style="1" customWidth="1"/>
    <col min="13" max="13" width="13.140625" style="1" customWidth="1"/>
    <col min="14" max="14" width="13.7109375" style="1" customWidth="1"/>
    <col min="15" max="16384" width="9.140625" style="1"/>
  </cols>
  <sheetData>
    <row r="1" spans="1:6" x14ac:dyDescent="0.25">
      <c r="A1" s="54" t="s">
        <v>41</v>
      </c>
      <c r="B1" s="54"/>
      <c r="C1" s="54"/>
      <c r="D1" s="54"/>
      <c r="E1" s="54"/>
      <c r="F1" s="54"/>
    </row>
    <row r="2" spans="1:6" x14ac:dyDescent="0.25">
      <c r="A2" s="54" t="s">
        <v>117</v>
      </c>
      <c r="B2" s="54"/>
      <c r="C2" s="54"/>
      <c r="D2" s="54"/>
      <c r="E2" s="54"/>
      <c r="F2" s="54"/>
    </row>
    <row r="3" spans="1:6" x14ac:dyDescent="0.25">
      <c r="A3" s="54" t="s">
        <v>118</v>
      </c>
      <c r="B3" s="54"/>
      <c r="C3" s="54"/>
      <c r="D3" s="54"/>
      <c r="E3" s="54"/>
      <c r="F3" s="54"/>
    </row>
    <row r="5" spans="1:6" x14ac:dyDescent="0.25">
      <c r="F5" s="52" t="s">
        <v>1</v>
      </c>
    </row>
    <row r="6" spans="1:6" x14ac:dyDescent="0.25">
      <c r="F6" s="53" t="s">
        <v>119</v>
      </c>
    </row>
    <row r="10" spans="1:6" ht="29.25" x14ac:dyDescent="0.25">
      <c r="C10" s="36" t="s">
        <v>44</v>
      </c>
      <c r="E10" s="36" t="s">
        <v>45</v>
      </c>
    </row>
    <row r="12" spans="1:6" x14ac:dyDescent="0.25">
      <c r="A12" s="1" t="s">
        <v>43</v>
      </c>
      <c r="C12" s="31">
        <f>+PERSONNEL!C23</f>
        <v>5011600.3375824178</v>
      </c>
      <c r="E12" s="31">
        <f>+PERSONNEL!C32</f>
        <v>5849694.458461538</v>
      </c>
    </row>
    <row r="13" spans="1:6" x14ac:dyDescent="0.25">
      <c r="A13" s="1" t="s">
        <v>55</v>
      </c>
      <c r="C13" s="31">
        <f>+C12*0.23</f>
        <v>1152668.0776439561</v>
      </c>
      <c r="E13" s="31">
        <f>+E12*0.23</f>
        <v>1345429.7254461539</v>
      </c>
    </row>
    <row r="14" spans="1:6" x14ac:dyDescent="0.25">
      <c r="A14" s="1" t="s">
        <v>47</v>
      </c>
      <c r="C14" s="31">
        <f>+PERSONNEL!D23</f>
        <v>91200</v>
      </c>
      <c r="E14" s="31">
        <f>+PERSONNEL!D32</f>
        <v>107200</v>
      </c>
    </row>
    <row r="15" spans="1:6" x14ac:dyDescent="0.25">
      <c r="A15" s="1" t="s">
        <v>46</v>
      </c>
      <c r="C15" s="31">
        <f>+PERSONNEL!E23+(C13*0.0765)</f>
        <v>478543.33376481762</v>
      </c>
      <c r="E15" s="31">
        <f>+PERSONNEL!E32+(E13*0.0765)</f>
        <v>558627.80006893852</v>
      </c>
    </row>
    <row r="16" spans="1:6" x14ac:dyDescent="0.25">
      <c r="A16" s="1" t="s">
        <v>48</v>
      </c>
      <c r="C16" s="31">
        <f>+PERSONNEL!F23</f>
        <v>1708454.5550818462</v>
      </c>
      <c r="E16" s="31">
        <f>+PERSONNEL!F32</f>
        <v>1994160.8408895382</v>
      </c>
    </row>
    <row r="17" spans="1:5" x14ac:dyDescent="0.25">
      <c r="A17" s="1" t="s">
        <v>49</v>
      </c>
      <c r="C17" s="31">
        <f>+PERSONNEL!G23</f>
        <v>14250</v>
      </c>
      <c r="E17" s="31">
        <f>+PERSONNEL!G32</f>
        <v>16750</v>
      </c>
    </row>
    <row r="18" spans="1:5" x14ac:dyDescent="0.25">
      <c r="A18" s="1" t="s">
        <v>50</v>
      </c>
      <c r="C18" s="31">
        <f>+PERSONNEL!I23</f>
        <v>1339500</v>
      </c>
      <c r="E18" s="31">
        <f>+PERSONNEL!I32</f>
        <v>1574500</v>
      </c>
    </row>
    <row r="19" spans="1:5" x14ac:dyDescent="0.25">
      <c r="A19" s="1" t="s">
        <v>51</v>
      </c>
      <c r="C19" s="31">
        <f>+PERSONNEL!J23</f>
        <v>78375</v>
      </c>
      <c r="E19" s="31">
        <f>+PERSONNEL!J32</f>
        <v>92125</v>
      </c>
    </row>
    <row r="20" spans="1:5" x14ac:dyDescent="0.25">
      <c r="A20" s="1" t="s">
        <v>52</v>
      </c>
      <c r="C20" s="31">
        <f>+PERSONNEL!H23</f>
        <v>50116.003375824184</v>
      </c>
      <c r="E20" s="31">
        <f>+PERSONNEL!H32</f>
        <v>58496.94458461539</v>
      </c>
    </row>
    <row r="21" spans="1:5" x14ac:dyDescent="0.25">
      <c r="A21" s="1" t="s">
        <v>53</v>
      </c>
      <c r="C21" s="31">
        <f>60000+23100+261080+300+10000</f>
        <v>354480</v>
      </c>
      <c r="E21" s="31">
        <f>60000+23100+261080+300+15000</f>
        <v>359480</v>
      </c>
    </row>
    <row r="22" spans="1:5" x14ac:dyDescent="0.25">
      <c r="A22" s="1" t="s">
        <v>54</v>
      </c>
      <c r="C22" s="31">
        <v>15000</v>
      </c>
      <c r="E22" s="31">
        <v>15000</v>
      </c>
    </row>
    <row r="23" spans="1:5" x14ac:dyDescent="0.25">
      <c r="A23" s="1" t="s">
        <v>56</v>
      </c>
      <c r="C23" s="31">
        <v>173000</v>
      </c>
      <c r="E23" s="31">
        <v>173000</v>
      </c>
    </row>
    <row r="24" spans="1:5" x14ac:dyDescent="0.25">
      <c r="A24" s="1" t="s">
        <v>57</v>
      </c>
      <c r="C24" s="31">
        <v>50000</v>
      </c>
      <c r="E24" s="31">
        <v>50000</v>
      </c>
    </row>
    <row r="25" spans="1:5" x14ac:dyDescent="0.25">
      <c r="A25" s="1" t="s">
        <v>58</v>
      </c>
      <c r="C25" s="31">
        <v>47000</v>
      </c>
      <c r="E25" s="31">
        <v>47000</v>
      </c>
    </row>
    <row r="26" spans="1:5" x14ac:dyDescent="0.25">
      <c r="A26" s="1" t="s">
        <v>59</v>
      </c>
      <c r="C26" s="31">
        <v>160000</v>
      </c>
      <c r="E26" s="31">
        <v>160000</v>
      </c>
    </row>
    <row r="27" spans="1:5" x14ac:dyDescent="0.25">
      <c r="A27" s="1" t="s">
        <v>67</v>
      </c>
      <c r="C27" s="31">
        <v>237500</v>
      </c>
      <c r="E27" s="31">
        <v>237500</v>
      </c>
    </row>
    <row r="28" spans="1:5" x14ac:dyDescent="0.25">
      <c r="A28" s="1" t="s">
        <v>60</v>
      </c>
      <c r="C28" s="31">
        <v>23200</v>
      </c>
      <c r="E28" s="31">
        <v>23200</v>
      </c>
    </row>
    <row r="29" spans="1:5" x14ac:dyDescent="0.25">
      <c r="A29" s="1" t="s">
        <v>61</v>
      </c>
      <c r="C29" s="31">
        <v>6000</v>
      </c>
      <c r="E29" s="31">
        <v>6000</v>
      </c>
    </row>
    <row r="30" spans="1:5" x14ac:dyDescent="0.25">
      <c r="A30" s="1" t="s">
        <v>84</v>
      </c>
      <c r="C30" s="31">
        <v>34500</v>
      </c>
      <c r="E30" s="31">
        <v>34500</v>
      </c>
    </row>
    <row r="31" spans="1:5" x14ac:dyDescent="0.25">
      <c r="A31" s="1" t="s">
        <v>62</v>
      </c>
      <c r="C31" s="31">
        <v>83000</v>
      </c>
      <c r="E31" s="31">
        <v>83000</v>
      </c>
    </row>
    <row r="32" spans="1:5" x14ac:dyDescent="0.25">
      <c r="A32" s="1" t="s">
        <v>63</v>
      </c>
      <c r="C32" s="31">
        <f>93171+16800</f>
        <v>109971</v>
      </c>
      <c r="E32" s="31">
        <f>93171+16800</f>
        <v>109971</v>
      </c>
    </row>
    <row r="33" spans="1:5" x14ac:dyDescent="0.25">
      <c r="A33" s="1" t="s">
        <v>64</v>
      </c>
      <c r="C33" s="31">
        <v>20000</v>
      </c>
      <c r="E33" s="31">
        <v>20000</v>
      </c>
    </row>
    <row r="34" spans="1:5" x14ac:dyDescent="0.25">
      <c r="A34" s="1" t="s">
        <v>65</v>
      </c>
      <c r="C34" s="31">
        <v>71209</v>
      </c>
      <c r="E34" s="31">
        <v>71209</v>
      </c>
    </row>
    <row r="35" spans="1:5" x14ac:dyDescent="0.25">
      <c r="A35" s="1" t="s">
        <v>66</v>
      </c>
      <c r="C35" s="31">
        <v>60000</v>
      </c>
      <c r="E35" s="31">
        <v>60000</v>
      </c>
    </row>
    <row r="36" spans="1:5" x14ac:dyDescent="0.25">
      <c r="A36" s="1" t="s">
        <v>68</v>
      </c>
      <c r="C36" s="31">
        <v>10000</v>
      </c>
      <c r="E36" s="31">
        <v>10000</v>
      </c>
    </row>
    <row r="37" spans="1:5" x14ac:dyDescent="0.25">
      <c r="A37" s="1" t="s">
        <v>69</v>
      </c>
      <c r="C37" s="31">
        <v>52500</v>
      </c>
      <c r="E37" s="31">
        <v>52500</v>
      </c>
    </row>
    <row r="38" spans="1:5" x14ac:dyDescent="0.25">
      <c r="A38" s="1" t="s">
        <v>70</v>
      </c>
      <c r="C38" s="31">
        <v>63000</v>
      </c>
      <c r="E38" s="31">
        <v>63000</v>
      </c>
    </row>
    <row r="39" spans="1:5" x14ac:dyDescent="0.25">
      <c r="A39" s="1" t="s">
        <v>71</v>
      </c>
      <c r="C39" s="31">
        <v>35200</v>
      </c>
      <c r="E39" s="31">
        <v>35200</v>
      </c>
    </row>
    <row r="40" spans="1:5" x14ac:dyDescent="0.25">
      <c r="A40" s="1" t="s">
        <v>72</v>
      </c>
      <c r="C40" s="31">
        <v>7400</v>
      </c>
      <c r="E40" s="31">
        <v>7400</v>
      </c>
    </row>
    <row r="41" spans="1:5" x14ac:dyDescent="0.25">
      <c r="A41" s="1" t="s">
        <v>73</v>
      </c>
      <c r="C41" s="31">
        <v>11400</v>
      </c>
      <c r="E41" s="31">
        <v>11400</v>
      </c>
    </row>
    <row r="42" spans="1:5" x14ac:dyDescent="0.25">
      <c r="A42" s="1" t="s">
        <v>74</v>
      </c>
      <c r="C42" s="31">
        <v>300</v>
      </c>
      <c r="E42" s="31">
        <v>300</v>
      </c>
    </row>
    <row r="43" spans="1:5" x14ac:dyDescent="0.25">
      <c r="A43" s="1" t="s">
        <v>75</v>
      </c>
      <c r="C43" s="31">
        <v>2400</v>
      </c>
      <c r="E43" s="31">
        <v>2400</v>
      </c>
    </row>
    <row r="44" spans="1:5" x14ac:dyDescent="0.25">
      <c r="A44" s="1" t="s">
        <v>76</v>
      </c>
      <c r="C44" s="31">
        <v>35000</v>
      </c>
      <c r="E44" s="31">
        <v>35000</v>
      </c>
    </row>
    <row r="45" spans="1:5" x14ac:dyDescent="0.25">
      <c r="A45" s="1" t="s">
        <v>77</v>
      </c>
      <c r="C45" s="31">
        <v>447000</v>
      </c>
      <c r="E45" s="31">
        <v>447000</v>
      </c>
    </row>
    <row r="46" spans="1:5" x14ac:dyDescent="0.25">
      <c r="A46" s="1" t="s">
        <v>78</v>
      </c>
      <c r="C46" s="31">
        <v>337000</v>
      </c>
      <c r="E46" s="31">
        <v>337000</v>
      </c>
    </row>
    <row r="47" spans="1:5" x14ac:dyDescent="0.25">
      <c r="A47" s="1" t="s">
        <v>79</v>
      </c>
      <c r="C47" s="31">
        <v>10000</v>
      </c>
      <c r="E47" s="31">
        <v>10000</v>
      </c>
    </row>
    <row r="48" spans="1:5" x14ac:dyDescent="0.25">
      <c r="A48" s="1" t="s">
        <v>80</v>
      </c>
      <c r="C48" s="31">
        <f>58111+2415</f>
        <v>60526</v>
      </c>
      <c r="E48" s="31">
        <f>58111+2415</f>
        <v>60526</v>
      </c>
    </row>
    <row r="49" spans="1:5" x14ac:dyDescent="0.25">
      <c r="A49" s="1" t="s">
        <v>81</v>
      </c>
      <c r="C49" s="31">
        <v>21000</v>
      </c>
      <c r="E49" s="31">
        <v>21000</v>
      </c>
    </row>
    <row r="50" spans="1:5" x14ac:dyDescent="0.25">
      <c r="A50" s="1" t="s">
        <v>82</v>
      </c>
      <c r="C50" s="31">
        <v>25500</v>
      </c>
      <c r="E50" s="31">
        <v>25500</v>
      </c>
    </row>
    <row r="51" spans="1:5" x14ac:dyDescent="0.25">
      <c r="A51" s="1" t="s">
        <v>83</v>
      </c>
      <c r="C51" s="31">
        <v>100000</v>
      </c>
      <c r="E51" s="31">
        <v>100000</v>
      </c>
    </row>
    <row r="52" spans="1:5" x14ac:dyDescent="0.25">
      <c r="A52" s="14" t="s">
        <v>85</v>
      </c>
      <c r="C52" s="38">
        <f>SUM(C12:C51)</f>
        <v>12587793.307448862</v>
      </c>
      <c r="D52" s="39"/>
      <c r="E52" s="38">
        <f>SUM(E12:E51)</f>
        <v>14265070.769450784</v>
      </c>
    </row>
    <row r="54" spans="1:5" x14ac:dyDescent="0.25">
      <c r="A54" s="1" t="s">
        <v>86</v>
      </c>
      <c r="C54" s="31">
        <v>-1400000</v>
      </c>
      <c r="E54" s="31">
        <v>-1400000</v>
      </c>
    </row>
    <row r="55" spans="1:5" x14ac:dyDescent="0.25">
      <c r="A55" s="1" t="s">
        <v>88</v>
      </c>
      <c r="C55" s="31">
        <v>-48000</v>
      </c>
      <c r="E55" s="31">
        <v>-48000</v>
      </c>
    </row>
    <row r="56" spans="1:5" x14ac:dyDescent="0.25">
      <c r="A56" s="1" t="s">
        <v>87</v>
      </c>
      <c r="C56" s="31">
        <v>-16000</v>
      </c>
      <c r="E56" s="31">
        <v>-16000</v>
      </c>
    </row>
    <row r="57" spans="1:5" x14ac:dyDescent="0.25">
      <c r="A57" s="1" t="s">
        <v>89</v>
      </c>
      <c r="C57" s="31">
        <v>-88000</v>
      </c>
      <c r="E57" s="31">
        <v>-88000</v>
      </c>
    </row>
    <row r="58" spans="1:5" x14ac:dyDescent="0.25">
      <c r="A58" s="1" t="s">
        <v>90</v>
      </c>
      <c r="C58" s="31">
        <v>-108000</v>
      </c>
      <c r="E58" s="31">
        <v>-108000</v>
      </c>
    </row>
    <row r="59" spans="1:5" x14ac:dyDescent="0.25">
      <c r="A59" s="1" t="s">
        <v>91</v>
      </c>
      <c r="C59" s="31">
        <v>-284000</v>
      </c>
      <c r="E59" s="31">
        <v>-284000</v>
      </c>
    </row>
    <row r="60" spans="1:5" x14ac:dyDescent="0.25">
      <c r="A60" s="14" t="s">
        <v>92</v>
      </c>
      <c r="C60" s="38">
        <f>SUM(C54:C59)</f>
        <v>-1944000</v>
      </c>
      <c r="D60" s="39"/>
      <c r="E60" s="38">
        <f>SUM(E54:E59)</f>
        <v>-1944000</v>
      </c>
    </row>
    <row r="62" spans="1:5" ht="15.75" thickBot="1" x14ac:dyDescent="0.3">
      <c r="A62" s="14" t="s">
        <v>93</v>
      </c>
      <c r="C62" s="37">
        <f>+C52+C60</f>
        <v>10643793.307448862</v>
      </c>
      <c r="E62" s="37">
        <f>+E52+E60</f>
        <v>12321070.769450784</v>
      </c>
    </row>
    <row r="63" spans="1:5" ht="15.75" thickTop="1" x14ac:dyDescent="0.25"/>
    <row r="64" spans="1:5" x14ac:dyDescent="0.25">
      <c r="A64" s="55" t="s">
        <v>98</v>
      </c>
    </row>
    <row r="65" spans="1:13" x14ac:dyDescent="0.25">
      <c r="A65" s="55"/>
      <c r="C65" s="40">
        <v>0.17130000000000001</v>
      </c>
      <c r="E65" s="40">
        <v>0.1966</v>
      </c>
      <c r="F65" s="40"/>
    </row>
    <row r="66" spans="1:13" x14ac:dyDescent="0.25">
      <c r="A66" s="1" t="s">
        <v>94</v>
      </c>
      <c r="C66" s="34">
        <v>18.55</v>
      </c>
      <c r="E66" s="34">
        <v>18.95</v>
      </c>
      <c r="F66" s="42"/>
      <c r="G66" s="40"/>
    </row>
    <row r="67" spans="1:13" x14ac:dyDescent="0.25">
      <c r="A67" s="1" t="s">
        <v>95</v>
      </c>
      <c r="C67" s="34">
        <v>26.077000000000002</v>
      </c>
      <c r="E67" s="34">
        <v>26.64</v>
      </c>
      <c r="F67" s="42"/>
      <c r="G67" s="40"/>
    </row>
    <row r="69" spans="1:13" x14ac:dyDescent="0.25">
      <c r="A69" s="1" t="s">
        <v>96</v>
      </c>
      <c r="C69" s="5">
        <v>2.7130000000000001</v>
      </c>
      <c r="E69" s="5">
        <v>3.11</v>
      </c>
    </row>
    <row r="70" spans="1:13" x14ac:dyDescent="0.25">
      <c r="A70" s="1" t="s">
        <v>97</v>
      </c>
      <c r="C70" s="5">
        <v>3.81</v>
      </c>
      <c r="E70" s="5">
        <v>4.38</v>
      </c>
    </row>
    <row r="72" spans="1:13" x14ac:dyDescent="0.25">
      <c r="A72" s="14" t="s">
        <v>99</v>
      </c>
      <c r="C72" s="40">
        <v>1.5699999999999999E-2</v>
      </c>
      <c r="E72" s="40">
        <v>1.5699999999999999E-2</v>
      </c>
    </row>
    <row r="73" spans="1:13" x14ac:dyDescent="0.25">
      <c r="A73" s="1" t="s">
        <v>100</v>
      </c>
      <c r="C73" s="34">
        <v>16.085000000000001</v>
      </c>
      <c r="E73" s="34">
        <v>16.085000000000001</v>
      </c>
      <c r="F73" s="40"/>
    </row>
    <row r="74" spans="1:13" x14ac:dyDescent="0.25">
      <c r="A74" s="1" t="s">
        <v>101</v>
      </c>
      <c r="C74" s="34">
        <v>22.613</v>
      </c>
      <c r="E74" s="34">
        <v>22.613</v>
      </c>
      <c r="F74" s="40"/>
    </row>
    <row r="76" spans="1:13" x14ac:dyDescent="0.25">
      <c r="A76" s="1" t="s">
        <v>102</v>
      </c>
      <c r="C76" s="5">
        <f>+C73-15.837</f>
        <v>0.24800000000000111</v>
      </c>
      <c r="E76" s="5">
        <f>+E73-15.837</f>
        <v>0.24800000000000111</v>
      </c>
    </row>
    <row r="77" spans="1:13" x14ac:dyDescent="0.25">
      <c r="A77" s="1" t="s">
        <v>103</v>
      </c>
      <c r="C77" s="5">
        <f>+C74-22.264</f>
        <v>0.3490000000000002</v>
      </c>
      <c r="E77" s="5">
        <f>+E74-22.264</f>
        <v>0.3490000000000002</v>
      </c>
    </row>
    <row r="79" spans="1:13" x14ac:dyDescent="0.25">
      <c r="C79" s="41"/>
    </row>
    <row r="80" spans="1:13" x14ac:dyDescent="0.25">
      <c r="G80" s="54" t="s">
        <v>41</v>
      </c>
      <c r="H80" s="54"/>
      <c r="I80" s="54"/>
      <c r="J80" s="54"/>
      <c r="K80" s="54"/>
      <c r="L80" s="54"/>
      <c r="M80" s="54"/>
    </row>
    <row r="81" spans="7:14" ht="15.75" x14ac:dyDescent="0.25">
      <c r="G81" s="54" t="s">
        <v>120</v>
      </c>
      <c r="H81" s="54"/>
      <c r="I81" s="54"/>
      <c r="J81" s="54"/>
      <c r="K81" s="54"/>
      <c r="L81" s="54"/>
      <c r="M81" s="54"/>
      <c r="N81" s="44"/>
    </row>
    <row r="82" spans="7:14" ht="15.75" x14ac:dyDescent="0.25">
      <c r="G82" s="54" t="s">
        <v>118</v>
      </c>
      <c r="H82" s="54"/>
      <c r="I82" s="54"/>
      <c r="J82" s="54"/>
      <c r="K82" s="54"/>
      <c r="L82" s="54"/>
      <c r="M82" s="54"/>
      <c r="N82" s="44"/>
    </row>
    <row r="83" spans="7:14" ht="15.75" x14ac:dyDescent="0.25">
      <c r="G83" s="1"/>
      <c r="H83" s="1"/>
      <c r="I83" s="31"/>
      <c r="J83" s="31"/>
      <c r="K83" s="31"/>
      <c r="L83" s="31"/>
      <c r="M83" s="44"/>
      <c r="N83" s="44"/>
    </row>
    <row r="84" spans="7:14" ht="15.75" x14ac:dyDescent="0.25">
      <c r="G84" s="1"/>
      <c r="H84" s="1"/>
      <c r="I84" s="31"/>
      <c r="J84" s="31"/>
      <c r="K84" s="31"/>
      <c r="M84" s="52" t="s">
        <v>1</v>
      </c>
      <c r="N84" s="44"/>
    </row>
    <row r="85" spans="7:14" ht="15.75" x14ac:dyDescent="0.25">
      <c r="G85" s="1"/>
      <c r="H85" s="1"/>
      <c r="I85" s="31"/>
      <c r="J85" s="31"/>
      <c r="K85" s="31"/>
      <c r="M85" s="53" t="s">
        <v>119</v>
      </c>
      <c r="N85" s="44"/>
    </row>
    <row r="86" spans="7:14" ht="15.75" x14ac:dyDescent="0.25">
      <c r="G86" s="43"/>
      <c r="H86" s="44"/>
      <c r="I86" s="44"/>
      <c r="J86" s="44"/>
      <c r="K86" s="44"/>
      <c r="L86" s="44"/>
      <c r="M86" s="44"/>
      <c r="N86" s="44"/>
    </row>
    <row r="87" spans="7:14" ht="47.25" x14ac:dyDescent="0.25">
      <c r="G87" s="43" t="s">
        <v>104</v>
      </c>
      <c r="H87" s="45"/>
      <c r="I87" s="46" t="s">
        <v>105</v>
      </c>
      <c r="J87" s="46" t="s">
        <v>106</v>
      </c>
      <c r="K87" s="46" t="s">
        <v>107</v>
      </c>
      <c r="L87" s="46" t="s">
        <v>116</v>
      </c>
      <c r="M87" s="46" t="s">
        <v>108</v>
      </c>
      <c r="N87" s="49"/>
    </row>
    <row r="88" spans="7:14" ht="15.75" x14ac:dyDescent="0.25">
      <c r="G88" s="44"/>
      <c r="H88" s="44"/>
      <c r="I88" s="44"/>
      <c r="J88" s="44"/>
      <c r="K88" s="44"/>
      <c r="L88" s="44"/>
      <c r="M88" s="44"/>
      <c r="N88" s="50"/>
    </row>
    <row r="89" spans="7:14" ht="15.75" x14ac:dyDescent="0.25">
      <c r="G89" s="44" t="s">
        <v>109</v>
      </c>
      <c r="H89" s="44"/>
      <c r="I89" s="47">
        <v>15.837</v>
      </c>
      <c r="J89" s="47">
        <v>1.956</v>
      </c>
      <c r="K89" s="47">
        <v>1.95</v>
      </c>
      <c r="L89" s="47">
        <v>1.5669999999999999</v>
      </c>
      <c r="M89" s="47">
        <v>1.65</v>
      </c>
      <c r="N89" s="51"/>
    </row>
    <row r="90" spans="7:14" ht="15.75" x14ac:dyDescent="0.25">
      <c r="G90" s="44" t="s">
        <v>110</v>
      </c>
      <c r="H90" s="44"/>
      <c r="I90" s="47">
        <v>22.263999999999999</v>
      </c>
      <c r="J90" s="47">
        <v>2.93</v>
      </c>
      <c r="K90" s="47">
        <v>2.93</v>
      </c>
      <c r="L90" s="47">
        <v>2.3519999999999999</v>
      </c>
      <c r="M90" s="47">
        <v>1.65</v>
      </c>
      <c r="N90" s="51"/>
    </row>
    <row r="91" spans="7:14" ht="15.75" x14ac:dyDescent="0.25">
      <c r="G91" s="44" t="s">
        <v>111</v>
      </c>
      <c r="H91" s="44"/>
      <c r="I91" s="47">
        <v>20.65</v>
      </c>
      <c r="J91" s="47">
        <v>2.82</v>
      </c>
      <c r="K91" s="47">
        <v>1.95</v>
      </c>
      <c r="L91" s="47">
        <v>1.516</v>
      </c>
      <c r="M91" s="47">
        <v>1.58</v>
      </c>
      <c r="N91" s="51"/>
    </row>
    <row r="94" spans="7:14" x14ac:dyDescent="0.25">
      <c r="G94" s="31" t="s">
        <v>114</v>
      </c>
      <c r="J94" s="48">
        <f>+$I89+J89</f>
        <v>17.792999999999999</v>
      </c>
      <c r="K94" s="48">
        <f t="shared" ref="K94:M94" si="0">+$I89+K89</f>
        <v>17.786999999999999</v>
      </c>
      <c r="L94" s="48">
        <f t="shared" si="0"/>
        <v>17.404</v>
      </c>
      <c r="M94" s="48">
        <f t="shared" si="0"/>
        <v>17.486999999999998</v>
      </c>
    </row>
    <row r="96" spans="7:14" x14ac:dyDescent="0.25">
      <c r="G96" s="31" t="s">
        <v>112</v>
      </c>
      <c r="J96" s="7">
        <f>+C66</f>
        <v>18.55</v>
      </c>
      <c r="K96" s="7">
        <f>+C66</f>
        <v>18.55</v>
      </c>
      <c r="L96" s="7">
        <f>+C66</f>
        <v>18.55</v>
      </c>
      <c r="M96" s="7">
        <f>+C66</f>
        <v>18.55</v>
      </c>
    </row>
    <row r="97" spans="7:13" x14ac:dyDescent="0.25">
      <c r="G97" s="31" t="s">
        <v>115</v>
      </c>
      <c r="J97" s="40">
        <f>+(J96-J$94)/J$94</f>
        <v>4.2544820997021386E-2</v>
      </c>
      <c r="K97" s="40">
        <f>+(K96-K$94)/K$94</f>
        <v>4.2896497441952085E-2</v>
      </c>
      <c r="L97" s="40">
        <f>+(L96-L$94)/L$94</f>
        <v>6.5846931739829972E-2</v>
      </c>
      <c r="M97" s="40">
        <f>+(M96-M$94)/M$94</f>
        <v>6.0788013953222537E-2</v>
      </c>
    </row>
    <row r="99" spans="7:13" x14ac:dyDescent="0.25">
      <c r="G99" s="31" t="s">
        <v>113</v>
      </c>
      <c r="J99" s="7">
        <f>+E66</f>
        <v>18.95</v>
      </c>
      <c r="K99" s="7">
        <f>+E66</f>
        <v>18.95</v>
      </c>
      <c r="L99" s="7">
        <f>+E66</f>
        <v>18.95</v>
      </c>
      <c r="M99" s="7">
        <f>+E66</f>
        <v>18.95</v>
      </c>
    </row>
    <row r="100" spans="7:13" x14ac:dyDescent="0.25">
      <c r="G100" s="31" t="s">
        <v>115</v>
      </c>
      <c r="J100" s="40">
        <f>+(J99-J$94)/J$94</f>
        <v>6.5025571854099934E-2</v>
      </c>
      <c r="K100" s="40">
        <f>+(K99-K$94)/K$94</f>
        <v>6.5384831618597872E-2</v>
      </c>
      <c r="L100" s="40">
        <f>+(L99-L$94)/L$94</f>
        <v>8.8830153987589019E-2</v>
      </c>
      <c r="M100" s="40">
        <f>+(M99-M$94)/M$94</f>
        <v>8.3662149024990057E-2</v>
      </c>
    </row>
  </sheetData>
  <mergeCells count="7">
    <mergeCell ref="G80:M80"/>
    <mergeCell ref="G81:M81"/>
    <mergeCell ref="G82:M82"/>
    <mergeCell ref="A64:A65"/>
    <mergeCell ref="A1:F1"/>
    <mergeCell ref="A2:F2"/>
    <mergeCell ref="A3:F3"/>
  </mergeCells>
  <pageMargins left="0.7" right="0.7" top="0.75" bottom="0.75" header="0.3" footer="0.3"/>
  <pageSetup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0B44-A4E0-4EC3-BD56-74BFA1E113F8}">
  <sheetPr>
    <pageSetUpPr fitToPage="1"/>
  </sheetPr>
  <dimension ref="A1:M41"/>
  <sheetViews>
    <sheetView topLeftCell="A8" workbookViewId="0">
      <selection sqref="A1:M41"/>
    </sheetView>
  </sheetViews>
  <sheetFormatPr defaultRowHeight="15" x14ac:dyDescent="0.25"/>
  <cols>
    <col min="1" max="1" width="30.85546875" style="1" bestFit="1" customWidth="1"/>
    <col min="2" max="2" width="19.5703125" style="2" customWidth="1"/>
    <col min="3" max="3" width="16.5703125" style="5" customWidth="1"/>
    <col min="4" max="4" width="18.28515625" style="5" customWidth="1"/>
    <col min="5" max="5" width="12.42578125" style="1" customWidth="1"/>
    <col min="6" max="6" width="15.85546875" style="1" customWidth="1"/>
    <col min="7" max="8" width="14.7109375" style="1" customWidth="1"/>
    <col min="9" max="9" width="14.28515625" style="1" customWidth="1"/>
    <col min="10" max="10" width="14.85546875" style="1" customWidth="1"/>
    <col min="11" max="11" width="13.140625" style="1" customWidth="1"/>
    <col min="12" max="12" width="11.7109375" style="1" customWidth="1"/>
    <col min="13" max="13" width="6.5703125" style="1" customWidth="1"/>
    <col min="14" max="16384" width="9.140625" style="1"/>
  </cols>
  <sheetData>
    <row r="1" spans="1:13" x14ac:dyDescent="0.2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A3" s="56" t="s">
        <v>40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5" spans="1:13" x14ac:dyDescent="0.25">
      <c r="M5" s="3" t="s">
        <v>1</v>
      </c>
    </row>
    <row r="6" spans="1:13" x14ac:dyDescent="0.25">
      <c r="D6" s="1"/>
      <c r="M6" s="4" t="s">
        <v>2</v>
      </c>
    </row>
    <row r="7" spans="1:13" ht="43.5" x14ac:dyDescent="0.25">
      <c r="C7" s="35" t="s">
        <v>42</v>
      </c>
      <c r="D7" s="9" t="s">
        <v>9</v>
      </c>
      <c r="E7" s="9" t="s">
        <v>10</v>
      </c>
    </row>
    <row r="8" spans="1:13" x14ac:dyDescent="0.25">
      <c r="C8" s="6"/>
      <c r="D8" s="1"/>
    </row>
    <row r="9" spans="1:13" x14ac:dyDescent="0.25">
      <c r="A9" s="1" t="s">
        <v>4</v>
      </c>
      <c r="B9" s="2" t="s">
        <v>36</v>
      </c>
      <c r="C9" s="31">
        <f>(3302.82*26)+9620</f>
        <v>95493.32</v>
      </c>
      <c r="D9" s="31">
        <f>85873/26/84*12*11</f>
        <v>5190.1263736263736</v>
      </c>
      <c r="E9" s="33">
        <f>SUM(C9:D9)</f>
        <v>100683.44637362639</v>
      </c>
    </row>
    <row r="10" spans="1:13" x14ac:dyDescent="0.25">
      <c r="A10" s="1" t="s">
        <v>5</v>
      </c>
      <c r="B10" s="2" t="s">
        <v>36</v>
      </c>
      <c r="C10" s="31">
        <f>(3202.82*26)+9620</f>
        <v>92893.32</v>
      </c>
      <c r="D10" s="31">
        <f>83273/26/84*12*11</f>
        <v>5032.9835164835167</v>
      </c>
      <c r="E10" s="33">
        <f>SUM(C10:D10)</f>
        <v>97926.303516483516</v>
      </c>
    </row>
    <row r="11" spans="1:13" x14ac:dyDescent="0.25">
      <c r="A11" s="1" t="s">
        <v>6</v>
      </c>
      <c r="B11" s="2" t="s">
        <v>28</v>
      </c>
      <c r="C11" s="31">
        <f>79207+3120+6500</f>
        <v>88827</v>
      </c>
      <c r="D11" s="31">
        <f>79207/26/84*12*11</f>
        <v>4787.2362637362639</v>
      </c>
      <c r="E11" s="33">
        <f>SUM(C11:D11)</f>
        <v>93614.236263736268</v>
      </c>
    </row>
    <row r="12" spans="1:13" x14ac:dyDescent="0.25">
      <c r="A12" s="1" t="s">
        <v>8</v>
      </c>
      <c r="B12" s="2" t="s">
        <v>28</v>
      </c>
      <c r="C12" s="31">
        <f>75042+3120+6500</f>
        <v>84662</v>
      </c>
      <c r="D12" s="31">
        <f>75042/26/84*12*11</f>
        <v>4535.5054945054944</v>
      </c>
      <c r="E12" s="33">
        <f>SUM(C12:D12)</f>
        <v>89197.505494505487</v>
      </c>
    </row>
    <row r="13" spans="1:13" x14ac:dyDescent="0.25">
      <c r="A13" s="1" t="s">
        <v>7</v>
      </c>
      <c r="B13" s="2" t="s">
        <v>28</v>
      </c>
      <c r="C13" s="31">
        <f>69961+3120+6500</f>
        <v>79581</v>
      </c>
      <c r="D13" s="31">
        <f>69961/26/84*12*11</f>
        <v>4228.4120879120892</v>
      </c>
      <c r="E13" s="33">
        <f>SUM(C13:D13)</f>
        <v>83809.412087912089</v>
      </c>
    </row>
    <row r="14" spans="1:13" x14ac:dyDescent="0.25">
      <c r="H14" s="8" t="s">
        <v>34</v>
      </c>
      <c r="I14" s="8" t="s">
        <v>34</v>
      </c>
      <c r="J14" s="8" t="s">
        <v>34</v>
      </c>
      <c r="K14" s="12" t="s">
        <v>32</v>
      </c>
      <c r="L14" s="8" t="s">
        <v>37</v>
      </c>
    </row>
    <row r="15" spans="1:13" x14ac:dyDescent="0.25">
      <c r="B15" s="9" t="s">
        <v>11</v>
      </c>
      <c r="C15" s="10" t="s">
        <v>12</v>
      </c>
      <c r="D15" s="10" t="s">
        <v>26</v>
      </c>
      <c r="E15" s="15" t="s">
        <v>15</v>
      </c>
      <c r="F15" s="9" t="s">
        <v>24</v>
      </c>
      <c r="G15" s="9" t="s">
        <v>29</v>
      </c>
      <c r="H15" s="9" t="s">
        <v>35</v>
      </c>
      <c r="I15" s="9" t="s">
        <v>30</v>
      </c>
      <c r="J15" s="9" t="s">
        <v>31</v>
      </c>
      <c r="K15" s="9" t="s">
        <v>33</v>
      </c>
      <c r="L15" s="9" t="s">
        <v>38</v>
      </c>
    </row>
    <row r="16" spans="1:13" x14ac:dyDescent="0.25">
      <c r="B16" s="12"/>
      <c r="C16" s="13"/>
      <c r="D16" s="13"/>
    </row>
    <row r="17" spans="1:12" x14ac:dyDescent="0.25">
      <c r="A17" s="1" t="s">
        <v>4</v>
      </c>
      <c r="B17" s="2">
        <v>4</v>
      </c>
      <c r="C17" s="31">
        <f>+B17*$E$9</f>
        <v>402733.78549450554</v>
      </c>
      <c r="D17" s="31">
        <f>1600*B17</f>
        <v>6400</v>
      </c>
      <c r="E17" s="31">
        <f>+(C17+D17)*0.0765</f>
        <v>31298.734590329674</v>
      </c>
      <c r="F17" s="31">
        <f t="shared" ref="F17:F22" si="0">+C17*0.3409</f>
        <v>137291.94747507694</v>
      </c>
      <c r="G17" s="31">
        <f>250*B17</f>
        <v>1000</v>
      </c>
      <c r="H17" s="31">
        <f>0.01*C17</f>
        <v>4027.3378549450554</v>
      </c>
      <c r="I17" s="31">
        <f>23500*B17</f>
        <v>94000</v>
      </c>
      <c r="J17" s="31">
        <f>1375*B17</f>
        <v>5500</v>
      </c>
      <c r="K17" s="31">
        <f>SUM(B17:J17)</f>
        <v>682255.80541485734</v>
      </c>
      <c r="L17" s="31">
        <f>+K17/B17</f>
        <v>170563.95135371434</v>
      </c>
    </row>
    <row r="18" spans="1:12" x14ac:dyDescent="0.25">
      <c r="A18" s="1" t="s">
        <v>6</v>
      </c>
      <c r="B18" s="2">
        <v>8</v>
      </c>
      <c r="C18" s="31">
        <f>+B18*$E$11</f>
        <v>748913.89010989014</v>
      </c>
      <c r="D18" s="31">
        <f t="shared" ref="D18:D22" si="1">1600*B18</f>
        <v>12800</v>
      </c>
      <c r="E18" s="31">
        <f t="shared" ref="E18:E21" si="2">+(C18+D18)*0.0765</f>
        <v>58271.112593406593</v>
      </c>
      <c r="F18" s="31">
        <f t="shared" si="0"/>
        <v>255304.74513846153</v>
      </c>
      <c r="G18" s="31">
        <f t="shared" ref="G18:G22" si="3">250*B18</f>
        <v>2000</v>
      </c>
      <c r="H18" s="31">
        <f>0.01*C18</f>
        <v>7489.1389010989014</v>
      </c>
      <c r="I18" s="31">
        <f t="shared" ref="I18:I22" si="4">23500*B18</f>
        <v>188000</v>
      </c>
      <c r="J18" s="31">
        <f t="shared" ref="J18:J22" si="5">1375*B18</f>
        <v>11000</v>
      </c>
      <c r="K18" s="31">
        <f t="shared" ref="K18:K21" si="6">SUM(B18:J18)</f>
        <v>1283786.8867428571</v>
      </c>
      <c r="L18" s="31">
        <f t="shared" ref="L18:L21" si="7">+K18/B18</f>
        <v>160473.36084285713</v>
      </c>
    </row>
    <row r="19" spans="1:12" x14ac:dyDescent="0.25">
      <c r="A19" s="1" t="s">
        <v>8</v>
      </c>
      <c r="B19" s="2">
        <v>8</v>
      </c>
      <c r="C19" s="31">
        <f>+B19*$E$12</f>
        <v>713580.0439560439</v>
      </c>
      <c r="D19" s="31">
        <f t="shared" si="1"/>
        <v>12800</v>
      </c>
      <c r="E19" s="31">
        <f t="shared" si="2"/>
        <v>55568.073362637355</v>
      </c>
      <c r="F19" s="31">
        <f t="shared" si="0"/>
        <v>243259.43698461534</v>
      </c>
      <c r="G19" s="31">
        <f t="shared" si="3"/>
        <v>2000</v>
      </c>
      <c r="H19" s="31">
        <f>0.01*C19</f>
        <v>7135.8004395604394</v>
      </c>
      <c r="I19" s="31">
        <f t="shared" si="4"/>
        <v>188000</v>
      </c>
      <c r="J19" s="31">
        <f t="shared" si="5"/>
        <v>11000</v>
      </c>
      <c r="K19" s="31">
        <f t="shared" si="6"/>
        <v>1233351.3547428572</v>
      </c>
      <c r="L19" s="31">
        <f t="shared" si="7"/>
        <v>154168.91934285715</v>
      </c>
    </row>
    <row r="20" spans="1:12" x14ac:dyDescent="0.25">
      <c r="A20" s="1" t="s">
        <v>13</v>
      </c>
      <c r="B20" s="2">
        <v>34</v>
      </c>
      <c r="C20" s="31">
        <f>+B20*$E$13</f>
        <v>2849520.0109890113</v>
      </c>
      <c r="D20" s="31">
        <f t="shared" si="1"/>
        <v>54400</v>
      </c>
      <c r="E20" s="31">
        <f t="shared" si="2"/>
        <v>222149.88084065935</v>
      </c>
      <c r="F20" s="31">
        <f t="shared" si="0"/>
        <v>971401.37174615392</v>
      </c>
      <c r="G20" s="31">
        <f t="shared" si="3"/>
        <v>8500</v>
      </c>
      <c r="H20" s="31">
        <f t="shared" ref="H20:H22" si="8">0.01*C20</f>
        <v>28495.200109890113</v>
      </c>
      <c r="I20" s="31">
        <f t="shared" si="4"/>
        <v>799000</v>
      </c>
      <c r="J20" s="31">
        <f t="shared" si="5"/>
        <v>46750</v>
      </c>
      <c r="K20" s="31">
        <f t="shared" si="6"/>
        <v>4980250.4636857146</v>
      </c>
      <c r="L20" s="31">
        <f t="shared" si="7"/>
        <v>146477.95481428574</v>
      </c>
    </row>
    <row r="21" spans="1:12" x14ac:dyDescent="0.25">
      <c r="A21" s="1" t="s">
        <v>14</v>
      </c>
      <c r="B21" s="2">
        <v>2</v>
      </c>
      <c r="C21" s="31">
        <f>+B21*$E$10</f>
        <v>195852.60703296703</v>
      </c>
      <c r="D21" s="31">
        <f t="shared" si="1"/>
        <v>3200</v>
      </c>
      <c r="E21" s="31">
        <f t="shared" si="2"/>
        <v>15227.524438021977</v>
      </c>
      <c r="F21" s="31">
        <f t="shared" si="0"/>
        <v>66766.153737538451</v>
      </c>
      <c r="G21" s="31">
        <f t="shared" si="3"/>
        <v>500</v>
      </c>
      <c r="H21" s="31">
        <f t="shared" si="8"/>
        <v>1958.5260703296703</v>
      </c>
      <c r="I21" s="31">
        <f t="shared" si="4"/>
        <v>47000</v>
      </c>
      <c r="J21" s="31">
        <f t="shared" si="5"/>
        <v>2750</v>
      </c>
      <c r="K21" s="31">
        <f t="shared" si="6"/>
        <v>333256.81127885712</v>
      </c>
      <c r="L21" s="31">
        <f t="shared" si="7"/>
        <v>166628.40563942856</v>
      </c>
    </row>
    <row r="22" spans="1:12" x14ac:dyDescent="0.25">
      <c r="A22" s="1" t="s">
        <v>39</v>
      </c>
      <c r="B22" s="2">
        <v>1</v>
      </c>
      <c r="C22" s="31">
        <v>101000</v>
      </c>
      <c r="D22" s="31">
        <f t="shared" si="1"/>
        <v>1600</v>
      </c>
      <c r="E22" s="31">
        <f t="shared" ref="E22" si="9">+(C22+D22)*0.0765</f>
        <v>7848.9</v>
      </c>
      <c r="F22" s="31">
        <f t="shared" si="0"/>
        <v>34430.9</v>
      </c>
      <c r="G22" s="31">
        <f t="shared" si="3"/>
        <v>250</v>
      </c>
      <c r="H22" s="31">
        <f t="shared" si="8"/>
        <v>1010</v>
      </c>
      <c r="I22" s="31">
        <f t="shared" si="4"/>
        <v>23500</v>
      </c>
      <c r="J22" s="31">
        <f t="shared" si="5"/>
        <v>1375</v>
      </c>
      <c r="K22" s="31">
        <f t="shared" ref="K22" si="10">SUM(B22:J22)</f>
        <v>171015.8</v>
      </c>
      <c r="L22" s="31">
        <f t="shared" ref="L22" si="11">+K22/B22</f>
        <v>171015.8</v>
      </c>
    </row>
    <row r="23" spans="1:12" ht="15.75" thickBot="1" x14ac:dyDescent="0.3">
      <c r="B23" s="11">
        <f>SUM(B17:B22)</f>
        <v>57</v>
      </c>
      <c r="C23" s="32">
        <f>SUM(C17:C22)</f>
        <v>5011600.3375824178</v>
      </c>
      <c r="D23" s="32">
        <f t="shared" ref="D23:K23" si="12">SUM(D17:D22)</f>
        <v>91200</v>
      </c>
      <c r="E23" s="32">
        <f t="shared" si="12"/>
        <v>390364.22582505498</v>
      </c>
      <c r="F23" s="32">
        <f t="shared" si="12"/>
        <v>1708454.5550818462</v>
      </c>
      <c r="G23" s="32">
        <f t="shared" si="12"/>
        <v>14250</v>
      </c>
      <c r="H23" s="32">
        <f t="shared" si="12"/>
        <v>50116.003375824184</v>
      </c>
      <c r="I23" s="32">
        <f t="shared" si="12"/>
        <v>1339500</v>
      </c>
      <c r="J23" s="32">
        <f t="shared" si="12"/>
        <v>78375</v>
      </c>
      <c r="K23" s="32">
        <f t="shared" si="12"/>
        <v>8683917.121865144</v>
      </c>
    </row>
    <row r="24" spans="1:12" ht="15.75" thickTop="1" x14ac:dyDescent="0.25">
      <c r="C24" s="31"/>
      <c r="D24" s="31"/>
      <c r="E24" s="31"/>
      <c r="F24" s="31"/>
      <c r="G24" s="31"/>
      <c r="H24" s="31"/>
      <c r="I24" s="31"/>
      <c r="J24" s="31"/>
      <c r="K24" s="31"/>
    </row>
    <row r="25" spans="1:12" x14ac:dyDescent="0.25">
      <c r="C25" s="31"/>
      <c r="D25" s="31"/>
      <c r="E25" s="31"/>
      <c r="F25" s="31"/>
      <c r="G25" s="31"/>
      <c r="H25" s="31"/>
      <c r="I25" s="31"/>
      <c r="J25" s="31"/>
      <c r="K25" s="31"/>
    </row>
    <row r="26" spans="1:12" x14ac:dyDescent="0.25">
      <c r="A26" s="1" t="s">
        <v>4</v>
      </c>
      <c r="B26" s="2">
        <v>4</v>
      </c>
      <c r="C26" s="31">
        <f>+B26*$E$9</f>
        <v>402733.78549450554</v>
      </c>
      <c r="D26" s="31">
        <f>1600*B26</f>
        <v>6400</v>
      </c>
      <c r="E26" s="31">
        <f t="shared" ref="E26:E30" si="13">+(C26+D26)*0.0765</f>
        <v>31298.734590329674</v>
      </c>
      <c r="F26" s="31">
        <f t="shared" ref="F26:F31" si="14">+C26*0.3409</f>
        <v>137291.94747507694</v>
      </c>
      <c r="G26" s="31">
        <f t="shared" ref="G26:G31" si="15">250*B26</f>
        <v>1000</v>
      </c>
      <c r="H26" s="31">
        <f>0.01*C26</f>
        <v>4027.3378549450554</v>
      </c>
      <c r="I26" s="31">
        <f t="shared" ref="I26:I31" si="16">23500*B26</f>
        <v>94000</v>
      </c>
      <c r="J26" s="31">
        <f t="shared" ref="J26:J31" si="17">1375*B26</f>
        <v>5500</v>
      </c>
      <c r="K26" s="31">
        <f t="shared" ref="K26:K31" si="18">SUM(B26:J26)</f>
        <v>682255.80541485734</v>
      </c>
      <c r="L26" s="31">
        <f t="shared" ref="L26:L31" si="19">+K26/B26</f>
        <v>170563.95135371434</v>
      </c>
    </row>
    <row r="27" spans="1:12" x14ac:dyDescent="0.25">
      <c r="A27" s="1" t="s">
        <v>6</v>
      </c>
      <c r="B27" s="2">
        <v>8</v>
      </c>
      <c r="C27" s="31">
        <f>+B27*$E$11</f>
        <v>748913.89010989014</v>
      </c>
      <c r="D27" s="31">
        <f t="shared" ref="D27:D31" si="20">1600*B27</f>
        <v>12800</v>
      </c>
      <c r="E27" s="31">
        <f t="shared" si="13"/>
        <v>58271.112593406593</v>
      </c>
      <c r="F27" s="31">
        <f t="shared" si="14"/>
        <v>255304.74513846153</v>
      </c>
      <c r="G27" s="31">
        <f t="shared" si="15"/>
        <v>2000</v>
      </c>
      <c r="H27" s="31">
        <f>0.01*C27</f>
        <v>7489.1389010989014</v>
      </c>
      <c r="I27" s="31">
        <f t="shared" si="16"/>
        <v>188000</v>
      </c>
      <c r="J27" s="31">
        <f t="shared" si="17"/>
        <v>11000</v>
      </c>
      <c r="K27" s="31">
        <f t="shared" si="18"/>
        <v>1283786.8867428571</v>
      </c>
      <c r="L27" s="31">
        <f t="shared" si="19"/>
        <v>160473.36084285713</v>
      </c>
    </row>
    <row r="28" spans="1:12" x14ac:dyDescent="0.25">
      <c r="A28" s="1" t="s">
        <v>8</v>
      </c>
      <c r="B28" s="2">
        <v>8</v>
      </c>
      <c r="C28" s="31">
        <f>+B28*$E$12</f>
        <v>713580.0439560439</v>
      </c>
      <c r="D28" s="31">
        <f t="shared" si="20"/>
        <v>12800</v>
      </c>
      <c r="E28" s="31">
        <f t="shared" si="13"/>
        <v>55568.073362637355</v>
      </c>
      <c r="F28" s="31">
        <f t="shared" si="14"/>
        <v>243259.43698461534</v>
      </c>
      <c r="G28" s="31">
        <f t="shared" si="15"/>
        <v>2000</v>
      </c>
      <c r="H28" s="31">
        <f>0.01*C28</f>
        <v>7135.8004395604394</v>
      </c>
      <c r="I28" s="31">
        <f t="shared" si="16"/>
        <v>188000</v>
      </c>
      <c r="J28" s="31">
        <f t="shared" si="17"/>
        <v>11000</v>
      </c>
      <c r="K28" s="31">
        <f t="shared" si="18"/>
        <v>1233351.3547428572</v>
      </c>
      <c r="L28" s="31">
        <f t="shared" si="19"/>
        <v>154168.91934285715</v>
      </c>
    </row>
    <row r="29" spans="1:12" x14ac:dyDescent="0.25">
      <c r="A29" s="1" t="s">
        <v>13</v>
      </c>
      <c r="B29" s="2">
        <f>34+10</f>
        <v>44</v>
      </c>
      <c r="C29" s="31">
        <f>+B29*$E$13</f>
        <v>3687614.1318681319</v>
      </c>
      <c r="D29" s="31">
        <f t="shared" si="20"/>
        <v>70400</v>
      </c>
      <c r="E29" s="31">
        <f t="shared" si="13"/>
        <v>287488.08108791208</v>
      </c>
      <c r="F29" s="31">
        <f t="shared" si="14"/>
        <v>1257107.657553846</v>
      </c>
      <c r="G29" s="31">
        <f t="shared" si="15"/>
        <v>11000</v>
      </c>
      <c r="H29" s="31">
        <f t="shared" ref="H29:H31" si="21">0.01*C29</f>
        <v>36876.141318681322</v>
      </c>
      <c r="I29" s="31">
        <f t="shared" si="16"/>
        <v>1034000</v>
      </c>
      <c r="J29" s="31">
        <f t="shared" si="17"/>
        <v>60500</v>
      </c>
      <c r="K29" s="31">
        <f t="shared" si="18"/>
        <v>6445030.0118285716</v>
      </c>
      <c r="L29" s="31">
        <f t="shared" si="19"/>
        <v>146477.95481428571</v>
      </c>
    </row>
    <row r="30" spans="1:12" x14ac:dyDescent="0.25">
      <c r="A30" s="1" t="s">
        <v>14</v>
      </c>
      <c r="B30" s="2">
        <v>2</v>
      </c>
      <c r="C30" s="31">
        <f>+B30*$E$10</f>
        <v>195852.60703296703</v>
      </c>
      <c r="D30" s="31">
        <f t="shared" si="20"/>
        <v>3200</v>
      </c>
      <c r="E30" s="31">
        <f t="shared" si="13"/>
        <v>15227.524438021977</v>
      </c>
      <c r="F30" s="31">
        <f t="shared" si="14"/>
        <v>66766.153737538451</v>
      </c>
      <c r="G30" s="31">
        <f t="shared" si="15"/>
        <v>500</v>
      </c>
      <c r="H30" s="31">
        <f t="shared" si="21"/>
        <v>1958.5260703296703</v>
      </c>
      <c r="I30" s="31">
        <f t="shared" si="16"/>
        <v>47000</v>
      </c>
      <c r="J30" s="31">
        <f t="shared" si="17"/>
        <v>2750</v>
      </c>
      <c r="K30" s="31">
        <f t="shared" si="18"/>
        <v>333256.81127885712</v>
      </c>
      <c r="L30" s="31">
        <f t="shared" si="19"/>
        <v>166628.40563942856</v>
      </c>
    </row>
    <row r="31" spans="1:12" x14ac:dyDescent="0.25">
      <c r="A31" s="1" t="s">
        <v>39</v>
      </c>
      <c r="B31" s="2">
        <v>1</v>
      </c>
      <c r="C31" s="31">
        <v>101000</v>
      </c>
      <c r="D31" s="31">
        <f t="shared" si="20"/>
        <v>1600</v>
      </c>
      <c r="E31" s="31">
        <f t="shared" ref="E31" si="22">+(C31+D31)*0.0765</f>
        <v>7848.9</v>
      </c>
      <c r="F31" s="31">
        <f t="shared" si="14"/>
        <v>34430.9</v>
      </c>
      <c r="G31" s="31">
        <f t="shared" si="15"/>
        <v>250</v>
      </c>
      <c r="H31" s="31">
        <f t="shared" si="21"/>
        <v>1010</v>
      </c>
      <c r="I31" s="31">
        <f t="shared" si="16"/>
        <v>23500</v>
      </c>
      <c r="J31" s="31">
        <f t="shared" si="17"/>
        <v>1375</v>
      </c>
      <c r="K31" s="31">
        <f t="shared" si="18"/>
        <v>171015.8</v>
      </c>
      <c r="L31" s="31">
        <f t="shared" si="19"/>
        <v>171015.8</v>
      </c>
    </row>
    <row r="32" spans="1:12" ht="15.75" thickBot="1" x14ac:dyDescent="0.3">
      <c r="B32" s="11">
        <f>SUM(B26:B31)</f>
        <v>67</v>
      </c>
      <c r="C32" s="32">
        <f>SUM(C26:C31)</f>
        <v>5849694.458461538</v>
      </c>
      <c r="D32" s="32">
        <f t="shared" ref="D32:K32" si="23">SUM(D26:D31)</f>
        <v>107200</v>
      </c>
      <c r="E32" s="32">
        <f t="shared" si="23"/>
        <v>455702.42607230775</v>
      </c>
      <c r="F32" s="32">
        <f t="shared" si="23"/>
        <v>1994160.8408895382</v>
      </c>
      <c r="G32" s="32">
        <f t="shared" si="23"/>
        <v>16750</v>
      </c>
      <c r="H32" s="32">
        <f t="shared" si="23"/>
        <v>58496.94458461539</v>
      </c>
      <c r="I32" s="32">
        <f t="shared" si="23"/>
        <v>1574500</v>
      </c>
      <c r="J32" s="32">
        <f t="shared" si="23"/>
        <v>92125</v>
      </c>
      <c r="K32" s="32">
        <f t="shared" si="23"/>
        <v>10148696.670008</v>
      </c>
    </row>
    <row r="33" spans="1:11" ht="15.75" thickTop="1" x14ac:dyDescent="0.25">
      <c r="E33" s="31"/>
      <c r="F33" s="31"/>
      <c r="G33" s="31"/>
      <c r="H33" s="31"/>
      <c r="I33" s="31"/>
      <c r="J33" s="31"/>
      <c r="K33" s="31"/>
    </row>
    <row r="34" spans="1:11" x14ac:dyDescent="0.25">
      <c r="A34" s="27" t="s">
        <v>25</v>
      </c>
      <c r="G34" s="5"/>
      <c r="H34" s="5"/>
      <c r="I34" s="5"/>
      <c r="J34" s="5"/>
      <c r="K34" s="5"/>
    </row>
    <row r="35" spans="1:11" x14ac:dyDescent="0.25">
      <c r="B35" s="16" t="s">
        <v>22</v>
      </c>
    </row>
    <row r="36" spans="1:11" x14ac:dyDescent="0.25">
      <c r="B36" s="23" t="s">
        <v>23</v>
      </c>
    </row>
    <row r="37" spans="1:11" x14ac:dyDescent="0.25">
      <c r="A37" s="28" t="s">
        <v>3</v>
      </c>
      <c r="B37" s="29">
        <v>0.32969999999999999</v>
      </c>
    </row>
    <row r="38" spans="1:11" x14ac:dyDescent="0.25">
      <c r="A38" s="28" t="s">
        <v>17</v>
      </c>
      <c r="B38" s="29">
        <v>0.44519999999999998</v>
      </c>
    </row>
    <row r="39" spans="1:11" x14ac:dyDescent="0.25">
      <c r="A39" s="28" t="s">
        <v>18</v>
      </c>
      <c r="B39" s="30">
        <v>0.12970000000000001</v>
      </c>
    </row>
    <row r="41" spans="1:11" x14ac:dyDescent="0.25">
      <c r="A41" s="27" t="s">
        <v>27</v>
      </c>
    </row>
  </sheetData>
  <mergeCells count="3">
    <mergeCell ref="A1:M1"/>
    <mergeCell ref="A2:M2"/>
    <mergeCell ref="A3:M3"/>
  </mergeCells>
  <pageMargins left="0.7" right="0.7" top="0.75" bottom="0.75" header="0.3" footer="0.3"/>
  <pageSetup paperSize="5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0319-C815-46DD-8CB0-2768280D82AE}">
  <dimension ref="A8:I24"/>
  <sheetViews>
    <sheetView topLeftCell="A4" workbookViewId="0">
      <selection activeCell="A10" sqref="A10:A12"/>
    </sheetView>
  </sheetViews>
  <sheetFormatPr defaultRowHeight="15" x14ac:dyDescent="0.25"/>
  <cols>
    <col min="3" max="3" width="16" customWidth="1"/>
    <col min="6" max="6" width="11" bestFit="1" customWidth="1"/>
    <col min="7" max="7" width="2.28515625" customWidth="1"/>
  </cols>
  <sheetData>
    <row r="8" spans="1:9" x14ac:dyDescent="0.25">
      <c r="C8" s="16" t="s">
        <v>16</v>
      </c>
      <c r="F8" s="16" t="s">
        <v>22</v>
      </c>
    </row>
    <row r="9" spans="1:9" x14ac:dyDescent="0.25">
      <c r="C9" s="22" t="s">
        <v>19</v>
      </c>
      <c r="D9" s="23" t="s">
        <v>21</v>
      </c>
      <c r="E9" s="24"/>
      <c r="F9" s="23" t="s">
        <v>23</v>
      </c>
    </row>
    <row r="10" spans="1:9" x14ac:dyDescent="0.25">
      <c r="A10" t="s">
        <v>3</v>
      </c>
      <c r="C10" s="17">
        <v>631152</v>
      </c>
      <c r="D10" s="20">
        <f>+C10/C13</f>
        <v>0.56507192412132778</v>
      </c>
      <c r="E10" s="18"/>
      <c r="F10" s="25">
        <v>0.32969999999999999</v>
      </c>
      <c r="G10" s="18"/>
      <c r="H10" s="18"/>
      <c r="I10" s="25">
        <f>+F10*D10</f>
        <v>0.18630421338280176</v>
      </c>
    </row>
    <row r="11" spans="1:9" x14ac:dyDescent="0.25">
      <c r="A11" t="s">
        <v>17</v>
      </c>
      <c r="C11" s="17">
        <v>347708</v>
      </c>
      <c r="D11" s="20">
        <f>+C11/C13</f>
        <v>0.3113038199869107</v>
      </c>
      <c r="E11" s="18"/>
      <c r="F11" s="25">
        <v>0.44519999999999998</v>
      </c>
      <c r="G11" s="18"/>
      <c r="H11" s="18"/>
      <c r="I11" s="25">
        <f>+F11*D11</f>
        <v>0.13859246065817263</v>
      </c>
    </row>
    <row r="12" spans="1:9" x14ac:dyDescent="0.25">
      <c r="A12" t="s">
        <v>18</v>
      </c>
      <c r="C12" s="17">
        <v>138081</v>
      </c>
      <c r="D12" s="20">
        <f>+C12/C13</f>
        <v>0.12362425589176151</v>
      </c>
      <c r="E12" s="18"/>
      <c r="F12" s="25">
        <v>0.12970000000000001</v>
      </c>
      <c r="G12" s="18"/>
      <c r="H12" s="18"/>
      <c r="I12" s="25">
        <f>+F12*D12</f>
        <v>1.6034065989161468E-2</v>
      </c>
    </row>
    <row r="13" spans="1:9" ht="15.75" thickBot="1" x14ac:dyDescent="0.3">
      <c r="B13" t="s">
        <v>20</v>
      </c>
      <c r="C13" s="19">
        <f>SUM(C10:C12)</f>
        <v>1116941</v>
      </c>
      <c r="D13" s="21">
        <f>SUM(D10:D12)</f>
        <v>1</v>
      </c>
      <c r="E13" s="18"/>
      <c r="F13" s="26">
        <f>SUM(F10:F12)</f>
        <v>0.90459999999999996</v>
      </c>
      <c r="G13" s="18"/>
      <c r="H13" s="18"/>
      <c r="I13" s="26">
        <f>SUM(I10:I12)</f>
        <v>0.34093074003013585</v>
      </c>
    </row>
    <row r="14" spans="1:9" ht="15.75" thickTop="1" x14ac:dyDescent="0.25">
      <c r="C14" s="18"/>
      <c r="D14" s="18"/>
      <c r="E14" s="18"/>
      <c r="F14" s="18"/>
      <c r="G14" s="18"/>
      <c r="H14" s="18"/>
      <c r="I14" s="25"/>
    </row>
    <row r="15" spans="1:9" x14ac:dyDescent="0.25">
      <c r="C15" s="18"/>
      <c r="D15" s="18"/>
      <c r="E15" s="18"/>
      <c r="F15" s="18"/>
      <c r="G15" s="18"/>
      <c r="H15" s="18"/>
    </row>
    <row r="16" spans="1:9" x14ac:dyDescent="0.25">
      <c r="C16" s="18"/>
      <c r="D16" s="18"/>
      <c r="E16" s="18"/>
      <c r="F16" s="18"/>
      <c r="G16" s="18"/>
      <c r="H16" s="18"/>
    </row>
    <row r="17" spans="3:8" x14ac:dyDescent="0.25">
      <c r="C17" s="18"/>
      <c r="D17" s="18"/>
      <c r="E17" s="18"/>
      <c r="F17" s="18"/>
      <c r="G17" s="18"/>
      <c r="H17" s="18"/>
    </row>
    <row r="18" spans="3:8" x14ac:dyDescent="0.25">
      <c r="C18" s="18"/>
      <c r="D18" s="18"/>
      <c r="E18" s="18"/>
      <c r="F18" s="18"/>
      <c r="G18" s="18"/>
      <c r="H18" s="18"/>
    </row>
    <row r="19" spans="3:8" x14ac:dyDescent="0.25">
      <c r="C19" s="18"/>
      <c r="D19" s="18"/>
      <c r="E19" s="18"/>
      <c r="F19" s="18"/>
      <c r="G19" s="18"/>
      <c r="H19" s="18"/>
    </row>
    <row r="20" spans="3:8" x14ac:dyDescent="0.25">
      <c r="C20" s="18"/>
      <c r="D20" s="18"/>
      <c r="E20" s="18"/>
      <c r="F20" s="18"/>
      <c r="G20" s="18"/>
      <c r="H20" s="18"/>
    </row>
    <row r="21" spans="3:8" x14ac:dyDescent="0.25">
      <c r="C21" s="18"/>
      <c r="D21" s="18"/>
      <c r="E21" s="18"/>
      <c r="F21" s="18"/>
      <c r="G21" s="18"/>
      <c r="H21" s="18"/>
    </row>
    <row r="22" spans="3:8" x14ac:dyDescent="0.25">
      <c r="C22" s="18"/>
      <c r="D22" s="18"/>
      <c r="E22" s="18"/>
      <c r="F22" s="18"/>
      <c r="G22" s="18"/>
      <c r="H22" s="18"/>
    </row>
    <row r="23" spans="3:8" x14ac:dyDescent="0.25">
      <c r="C23" s="18"/>
      <c r="D23" s="18"/>
      <c r="E23" s="18"/>
      <c r="F23" s="18"/>
      <c r="G23" s="18"/>
      <c r="H23" s="18"/>
    </row>
    <row r="24" spans="3:8" x14ac:dyDescent="0.25">
      <c r="C24" s="18"/>
      <c r="D24" s="18"/>
      <c r="E24" s="18"/>
      <c r="F24" s="18"/>
      <c r="G24" s="18"/>
      <c r="H2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PROJECTION</vt:lpstr>
      <vt:lpstr>PERSONNEL</vt:lpstr>
      <vt:lpstr>Pension Estimate</vt:lpstr>
      <vt:lpstr>'BUDGET PROJECTION'!Print_Area</vt:lpstr>
      <vt:lpstr>PERSONNEL!Print_Area</vt:lpstr>
      <vt:lpstr>'BUDGET PROJECTION'!Print_Titles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Civetti</dc:creator>
  <cp:lastModifiedBy>Robert Civetti</cp:lastModifiedBy>
  <cp:lastPrinted>2025-06-26T21:25:11Z</cp:lastPrinted>
  <dcterms:created xsi:type="dcterms:W3CDTF">2025-06-26T16:49:40Z</dcterms:created>
  <dcterms:modified xsi:type="dcterms:W3CDTF">2025-07-01T19:53:15Z</dcterms:modified>
</cp:coreProperties>
</file>